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obile\Concepts\Menu-Points\"/>
    </mc:Choice>
  </mc:AlternateContent>
  <xr:revisionPtr revIDLastSave="0" documentId="13_ncr:1_{C59586C7-E5C9-4AC0-A11A-2F86B4827372}" xr6:coauthVersionLast="41" xr6:coauthVersionMax="44" xr10:uidLastSave="{00000000-0000-0000-0000-000000000000}"/>
  <bookViews>
    <workbookView xWindow="-120" yWindow="-120" windowWidth="20730" windowHeight="11160" xr2:uid="{858F492D-2414-456C-8EF8-D689E4284B4F}"/>
  </bookViews>
  <sheets>
    <sheet name="Calculator" sheetId="1" r:id="rId1"/>
    <sheet name="WAIRE Menu" sheetId="3" r:id="rId2"/>
    <sheet name="Sheet2" sheetId="2" r:id="rId3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olver_adj" localSheetId="1" hidden="1">'WAIRE Menu'!#REF!</definedName>
    <definedName name="solver_cvg" localSheetId="1" hidden="1">0.0001</definedName>
    <definedName name="solver_drv" localSheetId="1" hidden="1">2</definedName>
    <definedName name="solver_eng" localSheetId="1" hidden="1">3</definedName>
    <definedName name="solver_est" localSheetId="1" hidden="1">1</definedName>
    <definedName name="solver_itr" localSheetId="1" hidden="1">2147483647</definedName>
    <definedName name="solver_lhs1" localSheetId="1" hidden="1">'WAIRE Menu'!#REF!</definedName>
    <definedName name="solver_lhs2" localSheetId="1" hidden="1">'WAIRE Menu'!#REF!</definedName>
    <definedName name="solver_lhs3" localSheetId="1" hidden="1">'WAIRE Menu'!#REF!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3</definedName>
    <definedName name="solver_nwt" localSheetId="1" hidden="1">1</definedName>
    <definedName name="solver_opt" localSheetId="1" hidden="1">'WAIRE Menu'!#REF!</definedName>
    <definedName name="solver_pre" localSheetId="1" hidden="1">0.000001</definedName>
    <definedName name="solver_rbv" localSheetId="1" hidden="1">2</definedName>
    <definedName name="solver_rel1" localSheetId="1" hidden="1">3</definedName>
    <definedName name="solver_rel2" localSheetId="1" hidden="1">1</definedName>
    <definedName name="solver_rel3" localSheetId="1" hidden="1">3</definedName>
    <definedName name="solver_rhs1" localSheetId="1" hidden="1">0.0000001</definedName>
    <definedName name="solver_rhs2" localSheetId="1" hidden="1">10*'WAIRE Menu'!#REF!</definedName>
    <definedName name="solver_rhs3" localSheetId="1" hidden="1">'WAIRE Menu'!#REF!/2</definedName>
    <definedName name="solver_rlx" localSheetId="1" hidden="1">2</definedName>
    <definedName name="solver_rsd" localSheetId="1" hidden="1">0</definedName>
    <definedName name="solver_scl" localSheetId="1" hidden="1">2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100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" i="3" l="1"/>
  <c r="H27" i="3"/>
  <c r="G25" i="3"/>
  <c r="I10" i="3"/>
  <c r="I8" i="3" s="1"/>
  <c r="H10" i="3"/>
  <c r="G10" i="3"/>
  <c r="I9" i="3"/>
  <c r="I7" i="3" s="1"/>
  <c r="H9" i="3"/>
  <c r="H7" i="3" s="1"/>
  <c r="G9" i="3"/>
  <c r="H8" i="3"/>
  <c r="G8" i="3"/>
  <c r="G7" i="3"/>
  <c r="C11" i="1" l="1"/>
  <c r="C13" i="1"/>
  <c r="C12" i="1"/>
  <c r="I2" i="1" l="1"/>
  <c r="C14" i="1"/>
  <c r="C19" i="2" l="1"/>
  <c r="I19" i="1" s="1"/>
  <c r="C4" i="2"/>
  <c r="I4" i="1" s="1"/>
  <c r="C18" i="2"/>
  <c r="I18" i="1" s="1"/>
  <c r="C17" i="2"/>
  <c r="I17" i="1" s="1"/>
  <c r="C13" i="2" l="1"/>
  <c r="I13" i="1" s="1"/>
  <c r="C14" i="2"/>
  <c r="I14" i="1" s="1"/>
  <c r="C15" i="2"/>
  <c r="I15" i="1" s="1"/>
  <c r="C16" i="2"/>
  <c r="I16" i="1" s="1"/>
  <c r="C10" i="2"/>
  <c r="I10" i="1" s="1"/>
  <c r="C20" i="2"/>
  <c r="I20" i="1" s="1"/>
  <c r="C12" i="2"/>
  <c r="I12" i="1" s="1"/>
  <c r="C6" i="2"/>
  <c r="I6" i="1" s="1"/>
  <c r="C9" i="2"/>
  <c r="I9" i="1" s="1"/>
  <c r="C3" i="2"/>
  <c r="I3" i="1" s="1"/>
  <c r="C11" i="2"/>
  <c r="I11" i="1" s="1"/>
  <c r="C21" i="2"/>
  <c r="I21" i="1" s="1"/>
  <c r="C8" i="2"/>
  <c r="I8" i="1" s="1"/>
  <c r="C5" i="2"/>
  <c r="I5" i="1" s="1"/>
  <c r="C7" i="2" l="1"/>
  <c r="I7" i="1" s="1"/>
  <c r="I22" i="1" s="1"/>
</calcChain>
</file>

<file path=xl/sharedStrings.xml><?xml version="1.0" encoding="utf-8"?>
<sst xmlns="http://schemas.openxmlformats.org/spreadsheetml/2006/main" count="246" uniqueCount="127">
  <si>
    <t>WPCO</t>
  </si>
  <si>
    <t>Mitigation Fee</t>
  </si>
  <si>
    <t>H2 Station Usage</t>
  </si>
  <si>
    <t>Charger Usage</t>
  </si>
  <si>
    <t>AUM</t>
  </si>
  <si>
    <t>Points</t>
  </si>
  <si>
    <t>WAIRE Menu Item</t>
  </si>
  <si>
    <t>WAIRE Menu Sub-Item</t>
  </si>
  <si>
    <t>Reporting Metric</t>
  </si>
  <si>
    <t>Annualized Metric</t>
  </si>
  <si>
    <t>Annualized Incremental Cost
($/metric)</t>
  </si>
  <si>
    <t>Annualized Regional Emissions Reduction
(lb NOx/ metric)</t>
  </si>
  <si>
    <t>Annualized 
Local Benefit
(lb DPM/ metric)</t>
  </si>
  <si>
    <t>Cost</t>
  </si>
  <si>
    <t>WAIRE Points</t>
  </si>
  <si>
    <t>Stringency (Point/WATT)</t>
  </si>
  <si>
    <t>Acquire NZE/ZE Trucks in Warehouse Operator Truck Fleet</t>
  </si>
  <si>
    <t>Purchase Truck</t>
  </si>
  <si>
    <t>Class 8 Truck</t>
  </si>
  <si>
    <t>NZE</t>
  </si>
  <si>
    <t>Number of trucks</t>
  </si>
  <si>
    <t>1 truck purchased</t>
  </si>
  <si>
    <t>Class 4 - 7 Truck</t>
  </si>
  <si>
    <t>ZE</t>
  </si>
  <si>
    <t>NZE/ZE Truck Visits</t>
  </si>
  <si>
    <t>One-way trips</t>
  </si>
  <si>
    <t>Number of trips</t>
  </si>
  <si>
    <t>365 truck visits</t>
  </si>
  <si>
    <t>WTTR</t>
  </si>
  <si>
    <t>Acquire ZE Yard Truck</t>
  </si>
  <si>
    <t>Purchase Yard Truck</t>
  </si>
  <si>
    <t>Number of yard trucks</t>
  </si>
  <si>
    <t>Use ZE Yard Truck</t>
  </si>
  <si>
    <t>Onsite Yard Truck Use</t>
  </si>
  <si>
    <t>Hours of use</t>
  </si>
  <si>
    <t>Install onsite ZE charging or fueling infrastructure</t>
  </si>
  <si>
    <t>Electric Charger</t>
  </si>
  <si>
    <t>Level 5</t>
  </si>
  <si>
    <t>EVSE Purchase</t>
  </si>
  <si>
    <t>Number of EVSE purchased</t>
  </si>
  <si>
    <t>1 EVSE Purchased</t>
  </si>
  <si>
    <t>Level 4</t>
  </si>
  <si>
    <t>Level 3</t>
  </si>
  <si>
    <t>Level 2</t>
  </si>
  <si>
    <t>TRU Plug</t>
  </si>
  <si>
    <t>1 Plug Purchased</t>
  </si>
  <si>
    <t>TBD</t>
  </si>
  <si>
    <t>Level 3, 4, or 5</t>
  </si>
  <si>
    <t>Construction Mobilization</t>
  </si>
  <si>
    <t>First day of construction</t>
  </si>
  <si>
    <t>1 construction project</t>
  </si>
  <si>
    <t>Final Permit Sign Off &amp; Charger Energization</t>
  </si>
  <si>
    <t>The latter of the final permit sign off or charger energization</t>
  </si>
  <si>
    <t>Hydrogen Station</t>
  </si>
  <si>
    <r>
      <t>Liquid or Gaseous H</t>
    </r>
    <r>
      <rPr>
        <vertAlign val="subscript"/>
        <sz val="11"/>
        <color theme="1"/>
        <rFont val="Calibri"/>
        <family val="2"/>
        <scheme val="minor"/>
      </rPr>
      <t>2</t>
    </r>
  </si>
  <si>
    <t>1 700 kg/day project</t>
  </si>
  <si>
    <t>Use onsite ZE charging or fueling infrastructure</t>
  </si>
  <si>
    <t>Car or truck charging</t>
  </si>
  <si>
    <t>kWh of dispensed electricity</t>
  </si>
  <si>
    <t>165,000 kWh</t>
  </si>
  <si>
    <t>kWh of dispensed electricity 
beyond CARB requirements</t>
  </si>
  <si>
    <t>Car or truck fueling</t>
  </si>
  <si>
    <r>
      <t>Total kg of dispensed H</t>
    </r>
    <r>
      <rPr>
        <vertAlign val="subscript"/>
        <sz val="11"/>
        <color theme="1"/>
        <rFont val="Calibri"/>
        <family val="2"/>
        <scheme val="minor"/>
      </rPr>
      <t>2</t>
    </r>
  </si>
  <si>
    <t>Install onsite energy systems</t>
  </si>
  <si>
    <t>Solar Panels</t>
  </si>
  <si>
    <t>Estimated annual production (kWh)</t>
  </si>
  <si>
    <t>Battery Storage</t>
  </si>
  <si>
    <t>Total capacity (kWh)</t>
  </si>
  <si>
    <t>Usage of onsite energy systems</t>
  </si>
  <si>
    <t>Community Benefits</t>
  </si>
  <si>
    <t>Air Filters for Sensitive Receptors</t>
  </si>
  <si>
    <t>Stand-alone systems</t>
  </si>
  <si>
    <t>Number of systems</t>
  </si>
  <si>
    <t>25 systems</t>
  </si>
  <si>
    <t>Filters</t>
  </si>
  <si>
    <t>Number of filters</t>
  </si>
  <si>
    <t>200 filters</t>
  </si>
  <si>
    <t># of Filters</t>
  </si>
  <si>
    <t>Class 8</t>
  </si>
  <si>
    <t>Class 4-7</t>
  </si>
  <si>
    <t>Total</t>
  </si>
  <si>
    <t>Warehouse Size</t>
  </si>
  <si>
    <t>Cold Storage</t>
  </si>
  <si>
    <t>WATT</t>
  </si>
  <si>
    <t>Cold Storage?</t>
  </si>
  <si>
    <t>User Input</t>
  </si>
  <si>
    <t>Resulting Points</t>
  </si>
  <si>
    <t>NZE Class 8 Truck Visits</t>
  </si>
  <si>
    <t>ZE Class 8 Truck Visits</t>
  </si>
  <si>
    <t>NZE Class 4-7 Truck Visits</t>
  </si>
  <si>
    <t>ZE Class 4-7 Truck Visits</t>
  </si>
  <si>
    <t>H2 Station Installations</t>
  </si>
  <si>
    <t>Level 2 Charger Installations</t>
  </si>
  <si>
    <t>Level 3 Charger Installations</t>
  </si>
  <si>
    <t>Level 4 Charger Installations</t>
  </si>
  <si>
    <t>Level 5 Charger Installations</t>
  </si>
  <si>
    <t>Filter System Installations</t>
  </si>
  <si>
    <t>Units</t>
  </si>
  <si>
    <t>$</t>
  </si>
  <si>
    <t># of Annual Visits</t>
  </si>
  <si>
    <t># of Trucks</t>
  </si>
  <si>
    <t>NZE Class 8 Truck Acquisitions</t>
  </si>
  <si>
    <t>ZE Class 8 Truck Acquisitions</t>
  </si>
  <si>
    <t>NZE Class 4-7 Truck Acquisitions</t>
  </si>
  <si>
    <t>ZE Class 4-7 Truck Acquisitions</t>
  </si>
  <si>
    <t># of 700 kg/day Stations</t>
  </si>
  <si>
    <t>Annual kg dispensed</t>
  </si>
  <si>
    <t>#of Chargers Installed</t>
  </si>
  <si>
    <t>Annual kWh dispensed</t>
  </si>
  <si>
    <t xml:space="preserve"> ZE Hostler Acquisitions</t>
  </si>
  <si>
    <t>ZE Hostler Usage</t>
  </si>
  <si>
    <t>Annual Hours of Use</t>
  </si>
  <si>
    <t># of Installations</t>
  </si>
  <si>
    <t>Filter Purchases</t>
  </si>
  <si>
    <t>WAIRE Menu Action</t>
  </si>
  <si>
    <t>User Inputs</t>
  </si>
  <si>
    <t>Default Average Daily Class 8 Visits</t>
  </si>
  <si>
    <t>Default Average Daily Class 4-7 Visits</t>
  </si>
  <si>
    <t>Annual Class 8 Truck Visits</t>
  </si>
  <si>
    <t>Annual Class 4-7 Truck Visits</t>
  </si>
  <si>
    <t>Regional Emission Reduction</t>
  </si>
  <si>
    <t>Local Emission Reduction</t>
  </si>
  <si>
    <r>
      <t>Total kg of dispensed 
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capacity per day</t>
    </r>
  </si>
  <si>
    <t>Use Default Trip Rate?</t>
  </si>
  <si>
    <t>Warehouse Size (square feet)</t>
  </si>
  <si>
    <t>Version 3/3/2020</t>
  </si>
  <si>
    <r>
      <t xml:space="preserve">Users can modify cells outlined in </t>
    </r>
    <r>
      <rPr>
        <b/>
        <sz val="11"/>
        <color theme="1"/>
        <rFont val="Calibri"/>
        <family val="2"/>
        <scheme val="minor"/>
      </rPr>
      <t>RED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</si>
</sst>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"/>
    <numFmt numFmtId="166" formatCode="0.0"/>
    <numFmt numFmtId="167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name val="Times New Roman"/>
      <family val="1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" fontId="0" fillId="6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1" fontId="0" fillId="7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Border="1" applyAlignment="1">
      <alignment vertical="center" wrapText="1"/>
    </xf>
    <xf numFmtId="166" fontId="0" fillId="0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166" fontId="0" fillId="0" borderId="2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167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66" fontId="0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vertical="center" wrapText="1"/>
    </xf>
    <xf numFmtId="0" fontId="0" fillId="0" borderId="0" xfId="0" applyProtection="1">
      <protection locked="0"/>
    </xf>
    <xf numFmtId="0" fontId="1" fillId="5" borderId="7" xfId="0" applyFont="1" applyFill="1" applyBorder="1" applyAlignment="1" applyProtection="1">
      <alignment horizontal="center" vertical="center" wrapText="1"/>
      <protection locked="0"/>
    </xf>
    <xf numFmtId="0" fontId="1" fillId="5" borderId="8" xfId="0" applyFont="1" applyFill="1" applyBorder="1" applyAlignment="1" applyProtection="1">
      <alignment horizontal="center" vertical="center" wrapText="1"/>
      <protection locked="0"/>
    </xf>
    <xf numFmtId="0" fontId="1" fillId="5" borderId="9" xfId="0" applyFont="1" applyFill="1" applyBorder="1" applyAlignment="1" applyProtection="1">
      <alignment horizontal="center" wrapText="1"/>
      <protection locked="0"/>
    </xf>
    <xf numFmtId="0" fontId="0" fillId="0" borderId="15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right"/>
      <protection locked="0"/>
    </xf>
    <xf numFmtId="0" fontId="0" fillId="0" borderId="0" xfId="0" applyFont="1" applyFill="1" applyBorder="1" applyAlignment="1" applyProtection="1">
      <alignment horizontal="right"/>
      <protection locked="0"/>
    </xf>
    <xf numFmtId="3" fontId="0" fillId="0" borderId="0" xfId="0" applyNumberForma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166" fontId="1" fillId="0" borderId="0" xfId="0" applyNumberFormat="1" applyFont="1" applyAlignment="1" applyProtection="1">
      <alignment horizontal="center"/>
    </xf>
    <xf numFmtId="0" fontId="0" fillId="0" borderId="0" xfId="0" applyProtection="1"/>
    <xf numFmtId="0" fontId="1" fillId="0" borderId="0" xfId="0" applyFont="1" applyAlignment="1" applyProtection="1">
      <alignment horizontal="right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 applyProtection="1">
      <alignment horizontal="center" vertical="center"/>
      <protection locked="0"/>
    </xf>
    <xf numFmtId="0" fontId="1" fillId="8" borderId="18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right"/>
      <protection locked="0"/>
    </xf>
    <xf numFmtId="0" fontId="6" fillId="2" borderId="0" xfId="0" applyFont="1" applyFill="1" applyBorder="1" applyAlignment="1">
      <alignment vertical="center" wrapText="1"/>
    </xf>
    <xf numFmtId="0" fontId="0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0" applyFont="1" applyAlignment="1" applyProtection="1">
      <alignment horizontal="right"/>
    </xf>
    <xf numFmtId="0" fontId="0" fillId="0" borderId="0" xfId="0" applyFont="1" applyFill="1" applyBorder="1" applyAlignment="1" applyProtection="1">
      <alignment horizontal="right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horizontal="center" vertical="center"/>
      <protection locked="0"/>
    </xf>
    <xf numFmtId="0" fontId="0" fillId="4" borderId="23" xfId="0" applyFill="1" applyBorder="1" applyProtection="1"/>
    <xf numFmtId="0" fontId="0" fillId="4" borderId="24" xfId="0" applyFill="1" applyBorder="1" applyProtection="1"/>
    <xf numFmtId="0" fontId="1" fillId="8" borderId="25" xfId="0" applyFont="1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/>
      <protection locked="0"/>
    </xf>
    <xf numFmtId="3" fontId="0" fillId="4" borderId="27" xfId="0" applyNumberFormat="1" applyFill="1" applyBorder="1" applyAlignment="1" applyProtection="1">
      <alignment horizontal="center"/>
      <protection locked="0"/>
    </xf>
    <xf numFmtId="0" fontId="0" fillId="4" borderId="27" xfId="0" applyFill="1" applyBorder="1" applyAlignment="1" applyProtection="1">
      <alignment horizontal="center"/>
      <protection locked="0"/>
    </xf>
    <xf numFmtId="0" fontId="0" fillId="4" borderId="28" xfId="0" applyFill="1" applyBorder="1" applyAlignment="1" applyProtection="1">
      <alignment horizontal="center"/>
      <protection locked="0"/>
    </xf>
    <xf numFmtId="0" fontId="0" fillId="9" borderId="29" xfId="0" applyFill="1" applyBorder="1" applyAlignment="1" applyProtection="1">
      <alignment horizontal="center" vertical="center" wrapText="1"/>
    </xf>
    <xf numFmtId="0" fontId="0" fillId="9" borderId="30" xfId="0" applyFill="1" applyBorder="1" applyAlignment="1" applyProtection="1">
      <alignment horizontal="center"/>
    </xf>
    <xf numFmtId="0" fontId="4" fillId="9" borderId="26" xfId="0" applyFont="1" applyFill="1" applyBorder="1" applyAlignment="1" applyProtection="1">
      <alignment horizontal="center" vertical="center"/>
      <protection locked="0"/>
    </xf>
    <xf numFmtId="0" fontId="4" fillId="9" borderId="27" xfId="0" applyFont="1" applyFill="1" applyBorder="1" applyAlignment="1" applyProtection="1">
      <alignment horizontal="center" vertical="center"/>
      <protection locked="0"/>
    </xf>
    <xf numFmtId="0" fontId="4" fillId="9" borderId="28" xfId="0" applyFont="1" applyFill="1" applyBorder="1" applyProtection="1">
      <protection locked="0"/>
    </xf>
    <xf numFmtId="0" fontId="1" fillId="5" borderId="31" xfId="0" applyFont="1" applyFill="1" applyBorder="1" applyAlignment="1" applyProtection="1">
      <alignment horizontal="center" wrapText="1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9" borderId="10" xfId="0" applyFont="1" applyFill="1" applyBorder="1" applyAlignment="1" applyProtection="1">
      <alignment horizontal="right"/>
    </xf>
    <xf numFmtId="0" fontId="0" fillId="9" borderId="5" xfId="0" applyFont="1" applyFill="1" applyBorder="1" applyAlignment="1" applyProtection="1">
      <alignment horizontal="center"/>
    </xf>
    <xf numFmtId="0" fontId="0" fillId="9" borderId="29" xfId="0" applyFill="1" applyBorder="1" applyAlignment="1" applyProtection="1">
      <alignment horizontal="center"/>
    </xf>
    <xf numFmtId="0" fontId="1" fillId="10" borderId="11" xfId="0" applyFont="1" applyFill="1" applyBorder="1" applyAlignment="1" applyProtection="1">
      <alignment horizontal="center"/>
    </xf>
    <xf numFmtId="0" fontId="1" fillId="10" borderId="12" xfId="0" applyFont="1" applyFill="1" applyBorder="1" applyAlignment="1" applyProtection="1">
      <alignment horizontal="center"/>
    </xf>
    <xf numFmtId="0" fontId="1" fillId="10" borderId="32" xfId="0" applyFont="1" applyFill="1" applyBorder="1" applyAlignment="1" applyProtection="1">
      <alignment horizontal="center"/>
    </xf>
    <xf numFmtId="0" fontId="1" fillId="10" borderId="13" xfId="0" applyFont="1" applyFill="1" applyBorder="1" applyAlignment="1" applyProtection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31E7F8EF-808E-4621-A532-3F595A1AF26A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C$9" lockText="1" noThreeD="1"/>
</file>

<file path=xl/ctrlProps/ctrlProp2.xml><?xml version="1.0" encoding="utf-8"?>
<formControlPr xmlns="http://schemas.microsoft.com/office/spreadsheetml/2009/9/main" objectType="CheckBox" checked="Checked" fmlaLink="C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171450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6</xdr:row>
          <xdr:rowOff>76200</xdr:rowOff>
        </xdr:from>
        <xdr:to>
          <xdr:col>2</xdr:col>
          <xdr:colOff>485775</xdr:colOff>
          <xdr:row>7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DF127-CEB8-47AA-968F-47C8BA020BFF}">
  <sheetPr codeName="Sheet1">
    <tabColor rgb="FF00B050"/>
  </sheetPr>
  <dimension ref="B1:I31"/>
  <sheetViews>
    <sheetView tabSelected="1" workbookViewId="0">
      <selection activeCell="C2" sqref="C2"/>
    </sheetView>
  </sheetViews>
  <sheetFormatPr defaultRowHeight="15" x14ac:dyDescent="0.25"/>
  <cols>
    <col min="1" max="1" width="9.140625" style="20"/>
    <col min="2" max="2" width="34.28515625" style="20" bestFit="1" customWidth="1"/>
    <col min="3" max="3" width="9.140625" style="28"/>
    <col min="4" max="4" width="14" style="20" customWidth="1"/>
    <col min="5" max="5" width="9.140625" style="20"/>
    <col min="6" max="6" width="29.42578125" style="20" bestFit="1" customWidth="1"/>
    <col min="7" max="7" width="23.42578125" style="28" customWidth="1"/>
    <col min="8" max="16384" width="9.140625" style="20"/>
  </cols>
  <sheetData>
    <row r="1" spans="2:9" ht="30.75" thickBot="1" x14ac:dyDescent="0.3">
      <c r="B1" s="42" t="s">
        <v>115</v>
      </c>
      <c r="C1" s="69"/>
      <c r="D1" s="43"/>
      <c r="F1" s="21" t="s">
        <v>114</v>
      </c>
      <c r="G1" s="22" t="s">
        <v>97</v>
      </c>
      <c r="H1" s="79" t="s">
        <v>85</v>
      </c>
      <c r="I1" s="23" t="s">
        <v>86</v>
      </c>
    </row>
    <row r="2" spans="2:9" x14ac:dyDescent="0.25">
      <c r="B2" s="67" t="s">
        <v>15</v>
      </c>
      <c r="C2" s="70">
        <v>1E-3</v>
      </c>
      <c r="D2" s="24"/>
      <c r="F2" s="83" t="s">
        <v>1</v>
      </c>
      <c r="G2" s="84" t="s">
        <v>98</v>
      </c>
      <c r="H2" s="80"/>
      <c r="I2" s="85">
        <f>VLOOKUP(F2,Sheet2!$A$2:$C$21,3,FALSE)*H2/(VLOOKUP(F2,Sheet2!$A$2:$C$21,2,FALSE))</f>
        <v>0</v>
      </c>
    </row>
    <row r="3" spans="2:9" x14ac:dyDescent="0.25">
      <c r="B3" s="68" t="s">
        <v>124</v>
      </c>
      <c r="C3" s="71">
        <v>1000000</v>
      </c>
      <c r="D3" s="24"/>
      <c r="F3" s="83" t="s">
        <v>87</v>
      </c>
      <c r="G3" s="84" t="s">
        <v>99</v>
      </c>
      <c r="H3" s="81"/>
      <c r="I3" s="85">
        <f>VLOOKUP(F3,Sheet2!$A$2:$C$21,3,FALSE)*H3/(VLOOKUP(F3,Sheet2!$A$2:$C$21,2,FALSE))</f>
        <v>0</v>
      </c>
    </row>
    <row r="4" spans="2:9" x14ac:dyDescent="0.25">
      <c r="B4" s="68" t="s">
        <v>118</v>
      </c>
      <c r="C4" s="72"/>
      <c r="D4" s="24"/>
      <c r="F4" s="83" t="s">
        <v>101</v>
      </c>
      <c r="G4" s="84" t="s">
        <v>100</v>
      </c>
      <c r="H4" s="81"/>
      <c r="I4" s="85">
        <f>VLOOKUP(F4,Sheet2!$A$2:$C$21,3,FALSE)*H4/(VLOOKUP(F4,Sheet2!$A$2:$C$21,2,FALSE))</f>
        <v>0</v>
      </c>
    </row>
    <row r="5" spans="2:9" ht="15.75" thickBot="1" x14ac:dyDescent="0.3">
      <c r="B5" s="68" t="s">
        <v>119</v>
      </c>
      <c r="C5" s="73"/>
      <c r="D5" s="24"/>
      <c r="F5" s="83" t="s">
        <v>88</v>
      </c>
      <c r="G5" s="84" t="s">
        <v>99</v>
      </c>
      <c r="H5" s="81"/>
      <c r="I5" s="85">
        <f>VLOOKUP(F5,Sheet2!$A$2:$C$21,3,FALSE)*H5/(VLOOKUP(F5,Sheet2!$A$2:$C$21,2,FALSE))</f>
        <v>0</v>
      </c>
    </row>
    <row r="6" spans="2:9" ht="15.75" thickBot="1" x14ac:dyDescent="0.3">
      <c r="B6" s="25"/>
      <c r="C6" s="26"/>
      <c r="D6" s="24"/>
      <c r="F6" s="83" t="s">
        <v>102</v>
      </c>
      <c r="G6" s="84" t="s">
        <v>100</v>
      </c>
      <c r="H6" s="81"/>
      <c r="I6" s="85">
        <f>VLOOKUP(F6,Sheet2!$A$2:$C$21,3,FALSE)*H6/(VLOOKUP(F6,Sheet2!$A$2:$C$21,2,FALSE))</f>
        <v>0</v>
      </c>
    </row>
    <row r="7" spans="2:9" x14ac:dyDescent="0.25">
      <c r="B7" s="25"/>
      <c r="C7" s="76" t="b">
        <v>1</v>
      </c>
      <c r="D7" s="74" t="s">
        <v>123</v>
      </c>
      <c r="F7" s="83" t="s">
        <v>89</v>
      </c>
      <c r="G7" s="84" t="s">
        <v>99</v>
      </c>
      <c r="H7" s="81"/>
      <c r="I7" s="85">
        <f>VLOOKUP(F7,Sheet2!$A$2:$C$21,3,FALSE)*H7/(VLOOKUP(F7,Sheet2!$A$2:$C$21,2,FALSE))</f>
        <v>0</v>
      </c>
    </row>
    <row r="8" spans="2:9" x14ac:dyDescent="0.25">
      <c r="B8" s="25"/>
      <c r="C8" s="77"/>
      <c r="D8" s="74"/>
      <c r="F8" s="83" t="s">
        <v>103</v>
      </c>
      <c r="G8" s="84" t="s">
        <v>100</v>
      </c>
      <c r="H8" s="81"/>
      <c r="I8" s="85">
        <f>VLOOKUP(F8,Sheet2!$A$2:$C$21,3,FALSE)*H8/(VLOOKUP(F8,Sheet2!$A$2:$C$21,2,FALSE))</f>
        <v>0</v>
      </c>
    </row>
    <row r="9" spans="2:9" ht="15.75" thickBot="1" x14ac:dyDescent="0.3">
      <c r="B9" s="27"/>
      <c r="C9" s="78" t="b">
        <v>0</v>
      </c>
      <c r="D9" s="75" t="s">
        <v>84</v>
      </c>
      <c r="F9" s="83" t="s">
        <v>90</v>
      </c>
      <c r="G9" s="84" t="s">
        <v>99</v>
      </c>
      <c r="H9" s="81"/>
      <c r="I9" s="85">
        <f>VLOOKUP(F9,Sheet2!$A$2:$C$21,3,FALSE)*H9/(VLOOKUP(F9,Sheet2!$A$2:$C$21,2,FALSE))</f>
        <v>0</v>
      </c>
    </row>
    <row r="10" spans="2:9" x14ac:dyDescent="0.25">
      <c r="F10" s="83" t="s">
        <v>104</v>
      </c>
      <c r="G10" s="84" t="s">
        <v>100</v>
      </c>
      <c r="H10" s="81"/>
      <c r="I10" s="85">
        <f>VLOOKUP(F10,Sheet2!$A$2:$C$21,3,FALSE)*H10/(VLOOKUP(F10,Sheet2!$A$2:$C$21,2,FALSE))</f>
        <v>0</v>
      </c>
    </row>
    <row r="11" spans="2:9" s="29" customFormat="1" x14ac:dyDescent="0.25">
      <c r="B11" s="35" t="s">
        <v>83</v>
      </c>
      <c r="C11" s="32">
        <f>IF(C7=TRUE,(365*C3/1000)*IF(Calculator!C9=TRUE,Sheet2!I4,IF(Calculator!C3&gt;=Sheet2!F2,Sheet2!I2,IF(Sheet2!F2&gt;=Sheet2!F3,Sheet2!I3))),365*SUM(C5,C4*2.5))</f>
        <v>346750</v>
      </c>
      <c r="F11" s="83" t="s">
        <v>91</v>
      </c>
      <c r="G11" s="84" t="s">
        <v>105</v>
      </c>
      <c r="H11" s="81"/>
      <c r="I11" s="85">
        <f>VLOOKUP(F11,Sheet2!$A$2:$C$21,3,FALSE)*H11/(VLOOKUP(F11,Sheet2!$A$2:$C$21,2,FALSE))</f>
        <v>0</v>
      </c>
    </row>
    <row r="12" spans="2:9" x14ac:dyDescent="0.25">
      <c r="B12" s="35" t="s">
        <v>116</v>
      </c>
      <c r="C12" s="33">
        <f>IF(C7=TRUE,(C3/1000)*IF(Calculator!C9=TRUE,Sheet2!H4,IF(Calculator!C3&gt;=Sheet2!F2,Sheet2!H2,IF(Sheet2!F2&gt;=Sheet2!F3,Sheet2!H3))),C4)</f>
        <v>330</v>
      </c>
      <c r="D12" s="28"/>
      <c r="F12" s="83" t="s">
        <v>2</v>
      </c>
      <c r="G12" s="84" t="s">
        <v>106</v>
      </c>
      <c r="H12" s="81"/>
      <c r="I12" s="85">
        <f>VLOOKUP(F12,Sheet2!$A$2:$C$21,3,FALSE)*H12/(VLOOKUP(F12,Sheet2!$A$2:$C$21,2,FALSE))</f>
        <v>0</v>
      </c>
    </row>
    <row r="13" spans="2:9" x14ac:dyDescent="0.25">
      <c r="B13" s="35" t="s">
        <v>117</v>
      </c>
      <c r="C13" s="33">
        <f>IF(C7=TRUE,(C3/1000)*IF(Calculator!C9=TRUE,Sheet2!G4,IF(Calculator!C3&gt;=Sheet2!F2,Sheet2!G2,IF(Calculator!C3&gt;=Sheet2!F3,Sheet2!G3))),C5)</f>
        <v>120</v>
      </c>
      <c r="D13" s="28"/>
      <c r="F13" s="83" t="s">
        <v>92</v>
      </c>
      <c r="G13" s="84" t="s">
        <v>107</v>
      </c>
      <c r="H13" s="81"/>
      <c r="I13" s="85">
        <f>VLOOKUP(F13,Sheet2!$A$2:$C$21,3,FALSE)*H13/(VLOOKUP(F13,Sheet2!$A$2:$C$21,2,FALSE))</f>
        <v>0</v>
      </c>
    </row>
    <row r="14" spans="2:9" x14ac:dyDescent="0.25">
      <c r="B14" s="36" t="s">
        <v>0</v>
      </c>
      <c r="C14" s="34">
        <f>C11*C2</f>
        <v>346.75</v>
      </c>
      <c r="D14" s="28"/>
      <c r="F14" s="83" t="s">
        <v>93</v>
      </c>
      <c r="G14" s="84" t="s">
        <v>107</v>
      </c>
      <c r="H14" s="81"/>
      <c r="I14" s="85">
        <f>VLOOKUP(F14,Sheet2!$A$2:$C$21,3,FALSE)*H14/(VLOOKUP(F14,Sheet2!$A$2:$C$21,2,FALSE))</f>
        <v>0</v>
      </c>
    </row>
    <row r="15" spans="2:9" ht="15.75" thickBot="1" x14ac:dyDescent="0.3">
      <c r="B15" s="30"/>
      <c r="D15" s="28"/>
      <c r="F15" s="83" t="s">
        <v>94</v>
      </c>
      <c r="G15" s="84" t="s">
        <v>107</v>
      </c>
      <c r="H15" s="81"/>
      <c r="I15" s="85">
        <f>VLOOKUP(F15,Sheet2!$A$2:$C$21,3,FALSE)*H15/(VLOOKUP(F15,Sheet2!$A$2:$C$21,2,FALSE))</f>
        <v>0</v>
      </c>
    </row>
    <row r="16" spans="2:9" x14ac:dyDescent="0.25">
      <c r="B16" s="63" t="s">
        <v>126</v>
      </c>
      <c r="C16" s="64"/>
      <c r="D16" s="28"/>
      <c r="F16" s="83" t="s">
        <v>95</v>
      </c>
      <c r="G16" s="84" t="s">
        <v>107</v>
      </c>
      <c r="H16" s="81"/>
      <c r="I16" s="85">
        <f>VLOOKUP(F16,Sheet2!$A$2:$C$21,3,FALSE)*H16/(VLOOKUP(F16,Sheet2!$A$2:$C$21,2,FALSE))</f>
        <v>0</v>
      </c>
    </row>
    <row r="17" spans="2:9" ht="15.75" thickBot="1" x14ac:dyDescent="0.3">
      <c r="B17" s="65"/>
      <c r="C17" s="66"/>
      <c r="D17" s="28"/>
      <c r="F17" s="83" t="s">
        <v>3</v>
      </c>
      <c r="G17" s="84" t="s">
        <v>108</v>
      </c>
      <c r="H17" s="81"/>
      <c r="I17" s="85">
        <f>VLOOKUP(F17,Sheet2!$A$2:$C$21,3,FALSE)*H17/(VLOOKUP(F17,Sheet2!$A$2:$C$21,2,FALSE))</f>
        <v>0</v>
      </c>
    </row>
    <row r="18" spans="2:9" x14ac:dyDescent="0.25">
      <c r="B18" s="30"/>
      <c r="D18" s="28"/>
      <c r="F18" s="83" t="s">
        <v>109</v>
      </c>
      <c r="G18" s="84" t="s">
        <v>100</v>
      </c>
      <c r="H18" s="81"/>
      <c r="I18" s="85">
        <f>VLOOKUP(F18,Sheet2!$A$2:$C$21,3,FALSE)*H18/(VLOOKUP(F18,Sheet2!$A$2:$C$21,2,FALSE))</f>
        <v>0</v>
      </c>
    </row>
    <row r="19" spans="2:9" x14ac:dyDescent="0.25">
      <c r="B19" s="30"/>
      <c r="D19" s="28"/>
      <c r="F19" s="83" t="s">
        <v>110</v>
      </c>
      <c r="G19" s="84" t="s">
        <v>111</v>
      </c>
      <c r="H19" s="81"/>
      <c r="I19" s="85">
        <f>VLOOKUP(F19,Sheet2!$A$2:$C$21,3,FALSE)*H19/(VLOOKUP(F19,Sheet2!$A$2:$C$21,2,FALSE))</f>
        <v>0</v>
      </c>
    </row>
    <row r="20" spans="2:9" x14ac:dyDescent="0.25">
      <c r="B20" s="56" t="s">
        <v>125</v>
      </c>
      <c r="D20" s="28"/>
      <c r="F20" s="83" t="s">
        <v>96</v>
      </c>
      <c r="G20" s="84" t="s">
        <v>112</v>
      </c>
      <c r="H20" s="81"/>
      <c r="I20" s="85">
        <f>VLOOKUP(F20,Sheet2!$A$2:$C$21,3,FALSE)*H20/(VLOOKUP(F20,Sheet2!$A$2:$C$21,2,FALSE))</f>
        <v>0</v>
      </c>
    </row>
    <row r="21" spans="2:9" ht="15.75" thickBot="1" x14ac:dyDescent="0.3">
      <c r="B21" s="30"/>
      <c r="D21" s="28"/>
      <c r="F21" s="83" t="s">
        <v>113</v>
      </c>
      <c r="G21" s="84" t="s">
        <v>77</v>
      </c>
      <c r="H21" s="82"/>
      <c r="I21" s="85">
        <f>VLOOKUP(F21,Sheet2!$A$2:$C$21,3,FALSE)*H21/(VLOOKUP(F21,Sheet2!$A$2:$C$21,2,FALSE))</f>
        <v>0</v>
      </c>
    </row>
    <row r="22" spans="2:9" ht="15.75" thickBot="1" x14ac:dyDescent="0.3">
      <c r="B22" s="30"/>
      <c r="D22" s="28"/>
      <c r="F22" s="86" t="s">
        <v>80</v>
      </c>
      <c r="G22" s="87"/>
      <c r="H22" s="88"/>
      <c r="I22" s="89">
        <f>SUM(I2:I21)</f>
        <v>0</v>
      </c>
    </row>
    <row r="23" spans="2:9" x14ac:dyDescent="0.25">
      <c r="B23" s="30"/>
      <c r="D23" s="28"/>
    </row>
    <row r="24" spans="2:9" x14ac:dyDescent="0.25">
      <c r="B24" s="30"/>
      <c r="D24" s="28"/>
    </row>
    <row r="25" spans="2:9" x14ac:dyDescent="0.25">
      <c r="B25" s="30"/>
      <c r="D25" s="28"/>
    </row>
    <row r="26" spans="2:9" x14ac:dyDescent="0.25">
      <c r="B26" s="30"/>
      <c r="D26" s="28"/>
    </row>
    <row r="27" spans="2:9" x14ac:dyDescent="0.25">
      <c r="B27" s="30"/>
      <c r="D27" s="28"/>
    </row>
    <row r="28" spans="2:9" x14ac:dyDescent="0.25">
      <c r="B28" s="30"/>
      <c r="D28" s="28"/>
    </row>
    <row r="29" spans="2:9" x14ac:dyDescent="0.25">
      <c r="B29" s="30"/>
      <c r="D29" s="28"/>
    </row>
    <row r="30" spans="2:9" x14ac:dyDescent="0.25">
      <c r="B30" s="30"/>
      <c r="D30" s="28"/>
    </row>
    <row r="31" spans="2:9" x14ac:dyDescent="0.25">
      <c r="B31" s="31"/>
      <c r="D31" s="28"/>
    </row>
  </sheetData>
  <sheetProtection password="B562" sheet="1" objects="1" scenarios="1"/>
  <mergeCells count="5">
    <mergeCell ref="B1:D1"/>
    <mergeCell ref="F22:H22"/>
    <mergeCell ref="D7:D8"/>
    <mergeCell ref="C7:C8"/>
    <mergeCell ref="B16:C17"/>
  </mergeCells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180975</xdr:colOff>
                    <xdr:row>7</xdr:row>
                    <xdr:rowOff>171450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180975</xdr:colOff>
                    <xdr:row>6</xdr:row>
                    <xdr:rowOff>76200</xdr:rowOff>
                  </from>
                  <to>
                    <xdr:col>2</xdr:col>
                    <xdr:colOff>485775</xdr:colOff>
                    <xdr:row>7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286E0-BFFC-4DAB-8133-F033E6F875DE}">
  <sheetPr codeName="Sheet2">
    <pageSetUpPr fitToPage="1"/>
  </sheetPr>
  <dimension ref="A1:N40"/>
  <sheetViews>
    <sheetView zoomScale="70" zoomScaleNormal="70" zoomScaleSheetLayoutView="90" workbookViewId="0"/>
  </sheetViews>
  <sheetFormatPr defaultRowHeight="15" x14ac:dyDescent="0.25"/>
  <cols>
    <col min="1" max="1" width="33.5703125" style="3" customWidth="1"/>
    <col min="2" max="2" width="18.140625" style="37" customWidth="1"/>
    <col min="3" max="4" width="16" style="3" customWidth="1"/>
    <col min="5" max="5" width="32.140625" style="37" customWidth="1"/>
    <col min="6" max="6" width="20.42578125" style="37" bestFit="1" customWidth="1"/>
    <col min="7" max="7" width="12.7109375" style="37" bestFit="1" customWidth="1"/>
    <col min="8" max="8" width="17" style="37" bestFit="1" customWidth="1"/>
    <col min="9" max="9" width="17.7109375" style="37" bestFit="1" customWidth="1"/>
    <col min="10" max="13" width="10.85546875" style="3" customWidth="1"/>
    <col min="14" max="16384" width="9.140625" style="3"/>
  </cols>
  <sheetData>
    <row r="1" spans="1:14" x14ac:dyDescent="0.25">
      <c r="A1" s="57" t="s">
        <v>125</v>
      </c>
      <c r="B1" s="2"/>
      <c r="C1" s="1"/>
      <c r="D1" s="1"/>
      <c r="E1" s="2"/>
      <c r="F1" s="2"/>
      <c r="G1" s="2"/>
      <c r="H1" s="2"/>
      <c r="I1" s="2"/>
    </row>
    <row r="2" spans="1:14" ht="75" x14ac:dyDescent="0.25">
      <c r="A2" s="41" t="s">
        <v>6</v>
      </c>
      <c r="B2" s="44" t="s">
        <v>7</v>
      </c>
      <c r="C2" s="44"/>
      <c r="D2" s="44"/>
      <c r="E2" s="41" t="s">
        <v>8</v>
      </c>
      <c r="F2" s="41" t="s">
        <v>9</v>
      </c>
      <c r="G2" s="41" t="s">
        <v>10</v>
      </c>
      <c r="H2" s="41" t="s">
        <v>11</v>
      </c>
      <c r="I2" s="41" t="s">
        <v>12</v>
      </c>
      <c r="J2" s="4" t="s">
        <v>13</v>
      </c>
      <c r="K2" s="4" t="s">
        <v>120</v>
      </c>
      <c r="L2" s="4" t="s">
        <v>121</v>
      </c>
      <c r="M2" s="4" t="s">
        <v>14</v>
      </c>
    </row>
    <row r="3" spans="1:14" ht="15" customHeight="1" x14ac:dyDescent="0.25">
      <c r="A3" s="45" t="s">
        <v>16</v>
      </c>
      <c r="B3" s="45" t="s">
        <v>17</v>
      </c>
      <c r="C3" s="5" t="s">
        <v>18</v>
      </c>
      <c r="D3" s="45" t="s">
        <v>19</v>
      </c>
      <c r="E3" s="45" t="s">
        <v>20</v>
      </c>
      <c r="F3" s="45" t="s">
        <v>21</v>
      </c>
      <c r="G3" s="6">
        <v>65000</v>
      </c>
      <c r="H3" s="38">
        <v>0</v>
      </c>
      <c r="I3" s="38">
        <v>0</v>
      </c>
      <c r="J3" s="7">
        <v>3</v>
      </c>
      <c r="K3" s="7">
        <v>52</v>
      </c>
      <c r="L3" s="8">
        <v>0</v>
      </c>
      <c r="M3" s="9">
        <v>55</v>
      </c>
      <c r="N3" s="10"/>
    </row>
    <row r="4" spans="1:14" x14ac:dyDescent="0.25">
      <c r="A4" s="45"/>
      <c r="B4" s="45"/>
      <c r="C4" s="5" t="s">
        <v>22</v>
      </c>
      <c r="D4" s="45"/>
      <c r="E4" s="45"/>
      <c r="F4" s="45"/>
      <c r="G4" s="6">
        <v>30000</v>
      </c>
      <c r="H4" s="38">
        <v>0</v>
      </c>
      <c r="I4" s="38">
        <v>0</v>
      </c>
      <c r="J4" s="7">
        <v>2</v>
      </c>
      <c r="K4" s="7">
        <v>24</v>
      </c>
      <c r="L4" s="8">
        <v>0</v>
      </c>
      <c r="M4" s="9">
        <v>26</v>
      </c>
    </row>
    <row r="5" spans="1:14" x14ac:dyDescent="0.25">
      <c r="A5" s="45"/>
      <c r="B5" s="45"/>
      <c r="C5" s="5" t="s">
        <v>18</v>
      </c>
      <c r="D5" s="45" t="s">
        <v>23</v>
      </c>
      <c r="E5" s="45"/>
      <c r="F5" s="45"/>
      <c r="G5" s="6">
        <v>150000</v>
      </c>
      <c r="H5" s="38">
        <v>0</v>
      </c>
      <c r="I5" s="38">
        <v>0</v>
      </c>
      <c r="J5" s="7">
        <v>6</v>
      </c>
      <c r="K5" s="7">
        <v>120</v>
      </c>
      <c r="L5" s="8">
        <v>0</v>
      </c>
      <c r="M5" s="9">
        <v>126</v>
      </c>
    </row>
    <row r="6" spans="1:14" x14ac:dyDescent="0.25">
      <c r="A6" s="45"/>
      <c r="B6" s="45"/>
      <c r="C6" s="5" t="s">
        <v>22</v>
      </c>
      <c r="D6" s="45"/>
      <c r="E6" s="45"/>
      <c r="F6" s="45"/>
      <c r="G6" s="6">
        <v>80000</v>
      </c>
      <c r="H6" s="38">
        <v>0</v>
      </c>
      <c r="I6" s="38">
        <v>0</v>
      </c>
      <c r="J6" s="7">
        <v>4</v>
      </c>
      <c r="K6" s="7">
        <v>64</v>
      </c>
      <c r="L6" s="8">
        <v>0</v>
      </c>
      <c r="M6" s="9">
        <v>68</v>
      </c>
    </row>
    <row r="7" spans="1:14" x14ac:dyDescent="0.25">
      <c r="A7" s="45" t="s">
        <v>24</v>
      </c>
      <c r="B7" s="45" t="s">
        <v>25</v>
      </c>
      <c r="C7" s="5" t="s">
        <v>18</v>
      </c>
      <c r="D7" s="45" t="s">
        <v>19</v>
      </c>
      <c r="E7" s="45" t="s">
        <v>26</v>
      </c>
      <c r="F7" s="45" t="s">
        <v>27</v>
      </c>
      <c r="G7" s="53">
        <f>(30.39-29.08)*365*2*4</f>
        <v>3825.2000000000066</v>
      </c>
      <c r="H7" s="54">
        <f>H9*0.9</f>
        <v>162.279</v>
      </c>
      <c r="I7" s="54">
        <f>I9</f>
        <v>1.3140000000000001</v>
      </c>
      <c r="J7" s="7">
        <v>3</v>
      </c>
      <c r="K7" s="7">
        <v>21</v>
      </c>
      <c r="L7" s="8">
        <v>18</v>
      </c>
      <c r="M7" s="9">
        <v>42</v>
      </c>
    </row>
    <row r="8" spans="1:14" x14ac:dyDescent="0.25">
      <c r="A8" s="45"/>
      <c r="B8" s="45"/>
      <c r="C8" s="5" t="s">
        <v>22</v>
      </c>
      <c r="D8" s="45"/>
      <c r="E8" s="45"/>
      <c r="F8" s="45"/>
      <c r="G8" s="53">
        <f>(16.77-12)*365*2*4</f>
        <v>13928.4</v>
      </c>
      <c r="H8" s="54">
        <f>H10*0.9</f>
        <v>26.28</v>
      </c>
      <c r="I8" s="54">
        <f>I10</f>
        <v>0.14600000000000002</v>
      </c>
      <c r="J8" s="7">
        <v>3</v>
      </c>
      <c r="K8" s="7">
        <v>6</v>
      </c>
      <c r="L8" s="8">
        <v>3</v>
      </c>
      <c r="M8" s="9">
        <v>12</v>
      </c>
    </row>
    <row r="9" spans="1:14" x14ac:dyDescent="0.25">
      <c r="A9" s="45"/>
      <c r="B9" s="45"/>
      <c r="C9" s="5" t="s">
        <v>18</v>
      </c>
      <c r="D9" s="45" t="s">
        <v>23</v>
      </c>
      <c r="E9" s="45"/>
      <c r="F9" s="45"/>
      <c r="G9" s="53">
        <f>(53.82-35.19)*365*2*4</f>
        <v>54399.600000000006</v>
      </c>
      <c r="H9" s="54">
        <f>0.247*2*365</f>
        <v>180.31</v>
      </c>
      <c r="I9" s="54">
        <f>0.0018*2*365</f>
        <v>1.3140000000000001</v>
      </c>
      <c r="J9" s="7">
        <v>9</v>
      </c>
      <c r="K9" s="7">
        <v>24</v>
      </c>
      <c r="L9" s="8">
        <v>18</v>
      </c>
      <c r="M9" s="9">
        <v>51</v>
      </c>
    </row>
    <row r="10" spans="1:14" x14ac:dyDescent="0.25">
      <c r="A10" s="45"/>
      <c r="B10" s="45"/>
      <c r="C10" s="5" t="s">
        <v>22</v>
      </c>
      <c r="D10" s="45"/>
      <c r="E10" s="45"/>
      <c r="F10" s="45"/>
      <c r="G10" s="53">
        <f>(12.24-12)*365*2*4</f>
        <v>700.80000000000064</v>
      </c>
      <c r="H10" s="54">
        <f>(365*2)*0.04</f>
        <v>29.2</v>
      </c>
      <c r="I10" s="54">
        <f>0.0002*365*2</f>
        <v>0.14600000000000002</v>
      </c>
      <c r="J10" s="7">
        <v>3</v>
      </c>
      <c r="K10" s="7">
        <v>6</v>
      </c>
      <c r="L10" s="8">
        <v>3</v>
      </c>
      <c r="M10" s="9">
        <v>12</v>
      </c>
    </row>
    <row r="11" spans="1:14" x14ac:dyDescent="0.25">
      <c r="A11" s="38" t="s">
        <v>29</v>
      </c>
      <c r="B11" s="45" t="s">
        <v>30</v>
      </c>
      <c r="C11" s="45"/>
      <c r="D11" s="38" t="s">
        <v>23</v>
      </c>
      <c r="E11" s="38" t="s">
        <v>31</v>
      </c>
      <c r="F11" s="38" t="s">
        <v>21</v>
      </c>
      <c r="G11" s="6">
        <v>210000</v>
      </c>
      <c r="H11" s="38">
        <v>0</v>
      </c>
      <c r="I11" s="38">
        <v>0</v>
      </c>
      <c r="J11" s="7">
        <v>9</v>
      </c>
      <c r="K11" s="7">
        <v>168</v>
      </c>
      <c r="L11" s="8">
        <v>0</v>
      </c>
      <c r="M11" s="9">
        <v>177</v>
      </c>
    </row>
    <row r="12" spans="1:14" x14ac:dyDescent="0.25">
      <c r="A12" s="38" t="s">
        <v>32</v>
      </c>
      <c r="B12" s="45" t="s">
        <v>33</v>
      </c>
      <c r="C12" s="45"/>
      <c r="D12" s="38" t="s">
        <v>23</v>
      </c>
      <c r="E12" s="38" t="s">
        <v>34</v>
      </c>
      <c r="F12" s="38">
        <v>1000</v>
      </c>
      <c r="G12" s="6">
        <v>6250</v>
      </c>
      <c r="H12" s="55">
        <v>394.2</v>
      </c>
      <c r="I12" s="11">
        <v>19.899999999999999</v>
      </c>
      <c r="J12" s="7">
        <v>3</v>
      </c>
      <c r="K12" s="7">
        <v>48</v>
      </c>
      <c r="L12" s="8">
        <v>240</v>
      </c>
      <c r="M12" s="9">
        <v>291</v>
      </c>
    </row>
    <row r="13" spans="1:14" ht="15" customHeight="1" x14ac:dyDescent="0.25">
      <c r="A13" s="45" t="s">
        <v>35</v>
      </c>
      <c r="B13" s="45" t="s">
        <v>36</v>
      </c>
      <c r="C13" s="5" t="s">
        <v>37</v>
      </c>
      <c r="D13" s="45" t="s">
        <v>38</v>
      </c>
      <c r="E13" s="45" t="s">
        <v>39</v>
      </c>
      <c r="F13" s="45" t="s">
        <v>40</v>
      </c>
      <c r="G13" s="6">
        <v>140000</v>
      </c>
      <c r="H13" s="38">
        <v>0</v>
      </c>
      <c r="I13" s="38">
        <v>0</v>
      </c>
      <c r="J13" s="7">
        <v>6</v>
      </c>
      <c r="K13" s="7">
        <v>112</v>
      </c>
      <c r="L13" s="8">
        <v>0</v>
      </c>
      <c r="M13" s="9">
        <v>118</v>
      </c>
    </row>
    <row r="14" spans="1:14" x14ac:dyDescent="0.25">
      <c r="A14" s="45"/>
      <c r="B14" s="45"/>
      <c r="C14" s="5" t="s">
        <v>41</v>
      </c>
      <c r="D14" s="45"/>
      <c r="E14" s="45"/>
      <c r="F14" s="45"/>
      <c r="G14" s="6">
        <v>60000</v>
      </c>
      <c r="H14" s="38">
        <v>0</v>
      </c>
      <c r="I14" s="38">
        <v>0</v>
      </c>
      <c r="J14" s="7">
        <v>3</v>
      </c>
      <c r="K14" s="7">
        <v>48</v>
      </c>
      <c r="L14" s="8">
        <v>0</v>
      </c>
      <c r="M14" s="9">
        <v>51</v>
      </c>
    </row>
    <row r="15" spans="1:14" x14ac:dyDescent="0.25">
      <c r="A15" s="45"/>
      <c r="B15" s="45"/>
      <c r="C15" s="5" t="s">
        <v>42</v>
      </c>
      <c r="D15" s="45"/>
      <c r="E15" s="45"/>
      <c r="F15" s="45"/>
      <c r="G15" s="6">
        <v>30000</v>
      </c>
      <c r="H15" s="38">
        <v>0</v>
      </c>
      <c r="I15" s="38">
        <v>0</v>
      </c>
      <c r="J15" s="7">
        <v>2</v>
      </c>
      <c r="K15" s="7">
        <v>24</v>
      </c>
      <c r="L15" s="8">
        <v>0</v>
      </c>
      <c r="M15" s="9">
        <v>26</v>
      </c>
    </row>
    <row r="16" spans="1:14" x14ac:dyDescent="0.25">
      <c r="A16" s="45"/>
      <c r="B16" s="45"/>
      <c r="C16" s="5" t="s">
        <v>43</v>
      </c>
      <c r="D16" s="45"/>
      <c r="E16" s="45"/>
      <c r="F16" s="45"/>
      <c r="G16" s="6">
        <v>5000</v>
      </c>
      <c r="H16" s="38">
        <v>0</v>
      </c>
      <c r="I16" s="38">
        <v>0</v>
      </c>
      <c r="J16" s="7">
        <v>1</v>
      </c>
      <c r="K16" s="7">
        <v>4</v>
      </c>
      <c r="L16" s="8">
        <v>0</v>
      </c>
      <c r="M16" s="9">
        <v>5</v>
      </c>
    </row>
    <row r="17" spans="1:13" x14ac:dyDescent="0.25">
      <c r="A17" s="45"/>
      <c r="B17" s="45"/>
      <c r="C17" s="5" t="s">
        <v>44</v>
      </c>
      <c r="D17" s="45"/>
      <c r="E17" s="45"/>
      <c r="F17" s="38" t="s">
        <v>45</v>
      </c>
      <c r="G17" s="6" t="s">
        <v>46</v>
      </c>
      <c r="H17" s="6" t="s">
        <v>46</v>
      </c>
      <c r="I17" s="6" t="s">
        <v>46</v>
      </c>
      <c r="J17" s="7" t="s">
        <v>46</v>
      </c>
      <c r="K17" s="7" t="s">
        <v>46</v>
      </c>
      <c r="L17" s="7" t="s">
        <v>46</v>
      </c>
      <c r="M17" s="9" t="s">
        <v>46</v>
      </c>
    </row>
    <row r="18" spans="1:13" ht="15" customHeight="1" x14ac:dyDescent="0.25">
      <c r="A18" s="45"/>
      <c r="B18" s="45"/>
      <c r="C18" s="5" t="s">
        <v>47</v>
      </c>
      <c r="D18" s="45" t="s">
        <v>48</v>
      </c>
      <c r="E18" s="45" t="s">
        <v>49</v>
      </c>
      <c r="F18" s="49" t="s">
        <v>50</v>
      </c>
      <c r="G18" s="6">
        <v>10000</v>
      </c>
      <c r="H18" s="38">
        <v>0</v>
      </c>
      <c r="I18" s="38">
        <v>0</v>
      </c>
      <c r="J18" s="7">
        <v>1</v>
      </c>
      <c r="K18" s="7">
        <v>8</v>
      </c>
      <c r="L18" s="8">
        <v>0</v>
      </c>
      <c r="M18" s="9">
        <v>9</v>
      </c>
    </row>
    <row r="19" spans="1:13" ht="15" customHeight="1" x14ac:dyDescent="0.25">
      <c r="A19" s="45"/>
      <c r="B19" s="45"/>
      <c r="C19" s="5" t="s">
        <v>43</v>
      </c>
      <c r="D19" s="45"/>
      <c r="E19" s="45"/>
      <c r="F19" s="50"/>
      <c r="G19" s="6">
        <v>10000</v>
      </c>
      <c r="H19" s="38">
        <v>0</v>
      </c>
      <c r="I19" s="38">
        <v>0</v>
      </c>
      <c r="J19" s="7">
        <v>1</v>
      </c>
      <c r="K19" s="7">
        <v>8</v>
      </c>
      <c r="L19" s="8">
        <v>0</v>
      </c>
      <c r="M19" s="9">
        <v>9</v>
      </c>
    </row>
    <row r="20" spans="1:13" x14ac:dyDescent="0.25">
      <c r="A20" s="45"/>
      <c r="B20" s="45"/>
      <c r="C20" s="5" t="s">
        <v>44</v>
      </c>
      <c r="D20" s="45"/>
      <c r="E20" s="45"/>
      <c r="F20" s="51"/>
      <c r="G20" s="6" t="s">
        <v>46</v>
      </c>
      <c r="H20" s="6" t="s">
        <v>46</v>
      </c>
      <c r="I20" s="6" t="s">
        <v>46</v>
      </c>
      <c r="J20" s="7" t="s">
        <v>46</v>
      </c>
      <c r="K20" s="7" t="s">
        <v>46</v>
      </c>
      <c r="L20" s="7" t="s">
        <v>46</v>
      </c>
      <c r="M20" s="9" t="s">
        <v>46</v>
      </c>
    </row>
    <row r="21" spans="1:13" ht="15" customHeight="1" x14ac:dyDescent="0.25">
      <c r="A21" s="45"/>
      <c r="B21" s="45"/>
      <c r="C21" s="5" t="s">
        <v>47</v>
      </c>
      <c r="D21" s="45" t="s">
        <v>51</v>
      </c>
      <c r="E21" s="45" t="s">
        <v>52</v>
      </c>
      <c r="F21" s="49" t="s">
        <v>50</v>
      </c>
      <c r="G21" s="6">
        <v>70000</v>
      </c>
      <c r="H21" s="38">
        <v>0</v>
      </c>
      <c r="I21" s="38">
        <v>0</v>
      </c>
      <c r="J21" s="7">
        <v>3</v>
      </c>
      <c r="K21" s="7">
        <v>56</v>
      </c>
      <c r="L21" s="8">
        <v>0</v>
      </c>
      <c r="M21" s="9">
        <v>59</v>
      </c>
    </row>
    <row r="22" spans="1:13" x14ac:dyDescent="0.25">
      <c r="A22" s="45"/>
      <c r="B22" s="45"/>
      <c r="C22" s="5" t="s">
        <v>43</v>
      </c>
      <c r="D22" s="45"/>
      <c r="E22" s="45"/>
      <c r="F22" s="50"/>
      <c r="G22" s="6">
        <v>10000</v>
      </c>
      <c r="H22" s="38">
        <v>0</v>
      </c>
      <c r="I22" s="38">
        <v>0</v>
      </c>
      <c r="J22" s="7">
        <v>1</v>
      </c>
      <c r="K22" s="7">
        <v>8</v>
      </c>
      <c r="L22" s="8">
        <v>0</v>
      </c>
      <c r="M22" s="9">
        <v>9</v>
      </c>
    </row>
    <row r="23" spans="1:13" x14ac:dyDescent="0.25">
      <c r="A23" s="45"/>
      <c r="B23" s="45"/>
      <c r="C23" s="5" t="s">
        <v>44</v>
      </c>
      <c r="D23" s="45"/>
      <c r="E23" s="45"/>
      <c r="F23" s="51"/>
      <c r="G23" s="6" t="s">
        <v>46</v>
      </c>
      <c r="H23" s="6" t="s">
        <v>46</v>
      </c>
      <c r="I23" s="6" t="s">
        <v>46</v>
      </c>
      <c r="J23" s="7" t="s">
        <v>46</v>
      </c>
      <c r="K23" s="7" t="s">
        <v>46</v>
      </c>
      <c r="L23" s="7" t="s">
        <v>46</v>
      </c>
      <c r="M23" s="9" t="s">
        <v>46</v>
      </c>
    </row>
    <row r="24" spans="1:13" ht="15" customHeight="1" x14ac:dyDescent="0.25">
      <c r="A24" s="45"/>
      <c r="B24" s="38" t="s">
        <v>53</v>
      </c>
      <c r="C24" s="46" t="s">
        <v>54</v>
      </c>
      <c r="D24" s="47"/>
      <c r="E24" s="38" t="s">
        <v>122</v>
      </c>
      <c r="F24" s="38" t="s">
        <v>55</v>
      </c>
      <c r="G24" s="6">
        <v>2000000</v>
      </c>
      <c r="H24" s="38">
        <v>0</v>
      </c>
      <c r="I24" s="38">
        <v>0</v>
      </c>
      <c r="J24" s="7">
        <v>80</v>
      </c>
      <c r="K24" s="7">
        <v>1600</v>
      </c>
      <c r="L24" s="8">
        <v>0</v>
      </c>
      <c r="M24" s="9">
        <v>1680</v>
      </c>
    </row>
    <row r="25" spans="1:13" ht="15" customHeight="1" x14ac:dyDescent="0.25">
      <c r="A25" s="45" t="s">
        <v>56</v>
      </c>
      <c r="B25" s="45" t="s">
        <v>36</v>
      </c>
      <c r="C25" s="45" t="s">
        <v>57</v>
      </c>
      <c r="D25" s="45"/>
      <c r="E25" s="40" t="s">
        <v>58</v>
      </c>
      <c r="F25" s="40" t="s">
        <v>59</v>
      </c>
      <c r="G25" s="12">
        <f>0.18*165000</f>
        <v>29700</v>
      </c>
      <c r="H25" s="13">
        <v>535</v>
      </c>
      <c r="I25" s="14">
        <v>4.5</v>
      </c>
      <c r="J25" s="7">
        <v>2</v>
      </c>
      <c r="K25" s="7">
        <v>22</v>
      </c>
      <c r="L25" s="8">
        <v>18</v>
      </c>
      <c r="M25" s="9">
        <v>42</v>
      </c>
    </row>
    <row r="26" spans="1:13" ht="30" x14ac:dyDescent="0.25">
      <c r="A26" s="45"/>
      <c r="B26" s="45"/>
      <c r="C26" s="45" t="s">
        <v>44</v>
      </c>
      <c r="D26" s="45"/>
      <c r="E26" s="38" t="s">
        <v>60</v>
      </c>
      <c r="F26" s="38" t="s">
        <v>46</v>
      </c>
      <c r="G26" s="6" t="s">
        <v>46</v>
      </c>
      <c r="H26" s="38" t="s">
        <v>46</v>
      </c>
      <c r="I26" s="38" t="s">
        <v>46</v>
      </c>
      <c r="J26" s="7" t="s">
        <v>46</v>
      </c>
      <c r="K26" s="7" t="s">
        <v>46</v>
      </c>
      <c r="L26" s="7" t="s">
        <v>46</v>
      </c>
      <c r="M26" s="9" t="s">
        <v>46</v>
      </c>
    </row>
    <row r="27" spans="1:13" ht="15" customHeight="1" x14ac:dyDescent="0.25">
      <c r="A27" s="45"/>
      <c r="B27" s="5" t="s">
        <v>53</v>
      </c>
      <c r="C27" s="52" t="s">
        <v>61</v>
      </c>
      <c r="D27" s="52"/>
      <c r="E27" s="38" t="s">
        <v>62</v>
      </c>
      <c r="F27" s="15">
        <v>6152</v>
      </c>
      <c r="G27" s="6">
        <v>61520</v>
      </c>
      <c r="H27" s="15">
        <f>H25</f>
        <v>535</v>
      </c>
      <c r="I27" s="16">
        <f>I25</f>
        <v>4.5</v>
      </c>
      <c r="J27" s="7">
        <v>3</v>
      </c>
      <c r="K27" s="7">
        <v>22</v>
      </c>
      <c r="L27" s="8">
        <v>18</v>
      </c>
      <c r="M27" s="9">
        <v>43</v>
      </c>
    </row>
    <row r="28" spans="1:13" x14ac:dyDescent="0.25">
      <c r="A28" s="45" t="s">
        <v>63</v>
      </c>
      <c r="B28" s="38" t="s">
        <v>64</v>
      </c>
      <c r="C28" s="48" t="s">
        <v>46</v>
      </c>
      <c r="D28" s="48"/>
      <c r="E28" s="39" t="s">
        <v>65</v>
      </c>
      <c r="F28" s="38" t="s">
        <v>46</v>
      </c>
      <c r="G28" s="6" t="s">
        <v>46</v>
      </c>
      <c r="H28" s="38" t="s">
        <v>46</v>
      </c>
      <c r="I28" s="38" t="s">
        <v>46</v>
      </c>
      <c r="J28" s="7" t="s">
        <v>46</v>
      </c>
      <c r="K28" s="7" t="s">
        <v>46</v>
      </c>
      <c r="L28" s="7" t="s">
        <v>46</v>
      </c>
      <c r="M28" s="9" t="s">
        <v>46</v>
      </c>
    </row>
    <row r="29" spans="1:13" x14ac:dyDescent="0.25">
      <c r="A29" s="45"/>
      <c r="B29" s="38" t="s">
        <v>66</v>
      </c>
      <c r="C29" s="45" t="s">
        <v>46</v>
      </c>
      <c r="D29" s="45"/>
      <c r="E29" s="38" t="s">
        <v>67</v>
      </c>
      <c r="F29" s="38" t="s">
        <v>46</v>
      </c>
      <c r="G29" s="6" t="s">
        <v>46</v>
      </c>
      <c r="H29" s="38" t="s">
        <v>46</v>
      </c>
      <c r="I29" s="38" t="s">
        <v>46</v>
      </c>
      <c r="J29" s="7" t="s">
        <v>46</v>
      </c>
      <c r="K29" s="7" t="s">
        <v>46</v>
      </c>
      <c r="L29" s="7" t="s">
        <v>46</v>
      </c>
      <c r="M29" s="9" t="s">
        <v>46</v>
      </c>
    </row>
    <row r="30" spans="1:13" x14ac:dyDescent="0.25">
      <c r="A30" s="45" t="s">
        <v>68</v>
      </c>
      <c r="B30" s="38" t="s">
        <v>64</v>
      </c>
      <c r="C30" s="48" t="s">
        <v>46</v>
      </c>
      <c r="D30" s="48"/>
      <c r="E30" s="39" t="s">
        <v>65</v>
      </c>
      <c r="F30" s="38" t="s">
        <v>46</v>
      </c>
      <c r="G30" s="6" t="s">
        <v>46</v>
      </c>
      <c r="H30" s="38" t="s">
        <v>46</v>
      </c>
      <c r="I30" s="38" t="s">
        <v>46</v>
      </c>
      <c r="J30" s="7" t="s">
        <v>46</v>
      </c>
      <c r="K30" s="7" t="s">
        <v>46</v>
      </c>
      <c r="L30" s="7" t="s">
        <v>46</v>
      </c>
      <c r="M30" s="9" t="s">
        <v>46</v>
      </c>
    </row>
    <row r="31" spans="1:13" x14ac:dyDescent="0.25">
      <c r="A31" s="45"/>
      <c r="B31" s="38" t="s">
        <v>66</v>
      </c>
      <c r="C31" s="45" t="s">
        <v>46</v>
      </c>
      <c r="D31" s="45"/>
      <c r="E31" s="38" t="s">
        <v>67</v>
      </c>
      <c r="F31" s="38" t="s">
        <v>46</v>
      </c>
      <c r="G31" s="6" t="s">
        <v>46</v>
      </c>
      <c r="H31" s="38" t="s">
        <v>46</v>
      </c>
      <c r="I31" s="38" t="s">
        <v>46</v>
      </c>
      <c r="J31" s="7" t="s">
        <v>46</v>
      </c>
      <c r="K31" s="7" t="s">
        <v>46</v>
      </c>
      <c r="L31" s="7" t="s">
        <v>46</v>
      </c>
      <c r="M31" s="9" t="s">
        <v>46</v>
      </c>
    </row>
    <row r="32" spans="1:13" ht="15" customHeight="1" x14ac:dyDescent="0.25">
      <c r="A32" s="45" t="s">
        <v>69</v>
      </c>
      <c r="B32" s="45" t="s">
        <v>70</v>
      </c>
      <c r="C32" s="48" t="s">
        <v>71</v>
      </c>
      <c r="D32" s="48"/>
      <c r="E32" s="38" t="s">
        <v>72</v>
      </c>
      <c r="F32" s="15" t="s">
        <v>73</v>
      </c>
      <c r="G32" s="6">
        <v>65000</v>
      </c>
      <c r="H32" s="38">
        <v>0</v>
      </c>
      <c r="I32" s="38">
        <v>0</v>
      </c>
      <c r="J32" s="7">
        <v>3</v>
      </c>
      <c r="K32" s="7">
        <v>52</v>
      </c>
      <c r="L32" s="8">
        <v>0</v>
      </c>
      <c r="M32" s="9">
        <v>55</v>
      </c>
    </row>
    <row r="33" spans="1:13" x14ac:dyDescent="0.25">
      <c r="A33" s="45"/>
      <c r="B33" s="45"/>
      <c r="C33" s="45" t="s">
        <v>74</v>
      </c>
      <c r="D33" s="45"/>
      <c r="E33" s="38" t="s">
        <v>75</v>
      </c>
      <c r="F33" s="15" t="s">
        <v>76</v>
      </c>
      <c r="G33" s="6">
        <v>60000</v>
      </c>
      <c r="H33" s="38">
        <v>0</v>
      </c>
      <c r="I33" s="38">
        <v>0</v>
      </c>
      <c r="J33" s="7">
        <v>3</v>
      </c>
      <c r="K33" s="7">
        <v>48</v>
      </c>
      <c r="L33" s="8">
        <v>0</v>
      </c>
      <c r="M33" s="9">
        <v>51</v>
      </c>
    </row>
    <row r="34" spans="1:13" x14ac:dyDescent="0.25">
      <c r="B34" s="3"/>
    </row>
    <row r="36" spans="1:13" x14ac:dyDescent="0.25">
      <c r="F36" s="18"/>
      <c r="J36" s="17"/>
      <c r="K36" s="17"/>
    </row>
    <row r="37" spans="1:13" x14ac:dyDescent="0.25">
      <c r="D37" s="19"/>
      <c r="E37" s="19"/>
      <c r="F37" s="19"/>
      <c r="G37" s="19"/>
      <c r="H37" s="19"/>
      <c r="I37" s="19"/>
      <c r="J37" s="19"/>
      <c r="K37" s="19"/>
    </row>
    <row r="38" spans="1:13" x14ac:dyDescent="0.25">
      <c r="D38" s="19"/>
      <c r="E38" s="19"/>
      <c r="F38" s="19"/>
      <c r="G38" s="19"/>
      <c r="H38" s="19"/>
      <c r="I38" s="19"/>
      <c r="J38" s="19"/>
      <c r="K38" s="19"/>
    </row>
    <row r="39" spans="1:13" x14ac:dyDescent="0.25">
      <c r="D39" s="19"/>
      <c r="E39" s="19"/>
      <c r="F39" s="19"/>
      <c r="G39" s="19"/>
      <c r="H39" s="19"/>
      <c r="I39" s="19"/>
      <c r="J39" s="19"/>
      <c r="K39" s="19"/>
    </row>
    <row r="40" spans="1:13" x14ac:dyDescent="0.25">
      <c r="D40" s="19"/>
      <c r="E40" s="19"/>
      <c r="F40" s="19"/>
      <c r="G40" s="19"/>
      <c r="H40" s="19"/>
      <c r="I40" s="19"/>
      <c r="J40" s="19"/>
      <c r="K40" s="19"/>
    </row>
  </sheetData>
  <sheetProtection password="B562" sheet="1" objects="1" scenarios="1"/>
  <mergeCells count="42">
    <mergeCell ref="A30:A31"/>
    <mergeCell ref="C30:D30"/>
    <mergeCell ref="C31:D31"/>
    <mergeCell ref="A32:A33"/>
    <mergeCell ref="B32:B33"/>
    <mergeCell ref="C32:D32"/>
    <mergeCell ref="C33:D33"/>
    <mergeCell ref="A28:A29"/>
    <mergeCell ref="C28:D28"/>
    <mergeCell ref="C29:D29"/>
    <mergeCell ref="F13:F16"/>
    <mergeCell ref="D18:D20"/>
    <mergeCell ref="E18:E20"/>
    <mergeCell ref="F18:F20"/>
    <mergeCell ref="D21:D23"/>
    <mergeCell ref="E21:E23"/>
    <mergeCell ref="F21:F23"/>
    <mergeCell ref="E13:E17"/>
    <mergeCell ref="A25:A27"/>
    <mergeCell ref="B25:B26"/>
    <mergeCell ref="C25:D25"/>
    <mergeCell ref="C26:D26"/>
    <mergeCell ref="C27:D27"/>
    <mergeCell ref="B11:C11"/>
    <mergeCell ref="B12:C12"/>
    <mergeCell ref="A13:A24"/>
    <mergeCell ref="B13:B23"/>
    <mergeCell ref="D13:D17"/>
    <mergeCell ref="C24:D24"/>
    <mergeCell ref="A7:A10"/>
    <mergeCell ref="B7:B10"/>
    <mergeCell ref="D7:D8"/>
    <mergeCell ref="E7:E10"/>
    <mergeCell ref="F7:F10"/>
    <mergeCell ref="D9:D10"/>
    <mergeCell ref="B2:D2"/>
    <mergeCell ref="A3:A6"/>
    <mergeCell ref="B3:B6"/>
    <mergeCell ref="D3:D4"/>
    <mergeCell ref="E3:E6"/>
    <mergeCell ref="F3:F6"/>
    <mergeCell ref="D5:D6"/>
  </mergeCells>
  <pageMargins left="0.7" right="0.7" top="0.75" bottom="0.75" header="0.3" footer="0.3"/>
  <pageSetup scale="27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D2F6D-2216-41C2-A084-DB896C1301FE}">
  <sheetPr codeName="Sheet3"/>
  <dimension ref="A1:I21"/>
  <sheetViews>
    <sheetView workbookViewId="0">
      <selection activeCell="B4" sqref="B4"/>
    </sheetView>
  </sheetViews>
  <sheetFormatPr defaultRowHeight="15" x14ac:dyDescent="0.25"/>
  <cols>
    <col min="1" max="1" width="29.42578125" style="35" bestFit="1" customWidth="1"/>
    <col min="2" max="3" width="9.140625" style="59"/>
    <col min="4" max="6" width="9.140625" style="35"/>
    <col min="7" max="9" width="9.140625" style="59"/>
    <col min="10" max="16384" width="9.140625" style="35"/>
  </cols>
  <sheetData>
    <row r="1" spans="1:9" x14ac:dyDescent="0.25">
      <c r="A1" s="58"/>
      <c r="B1" s="59" t="s">
        <v>4</v>
      </c>
      <c r="C1" s="59" t="s">
        <v>5</v>
      </c>
      <c r="F1" s="60" t="s">
        <v>81</v>
      </c>
      <c r="G1" s="59" t="s">
        <v>79</v>
      </c>
      <c r="H1" s="59" t="s">
        <v>78</v>
      </c>
      <c r="I1" s="59" t="s">
        <v>28</v>
      </c>
    </row>
    <row r="2" spans="1:9" x14ac:dyDescent="0.25">
      <c r="A2" s="61" t="s">
        <v>1</v>
      </c>
      <c r="B2" s="59">
        <v>1000</v>
      </c>
      <c r="C2" s="59">
        <v>1</v>
      </c>
      <c r="F2" s="35">
        <v>200000</v>
      </c>
      <c r="G2" s="59">
        <v>0.12</v>
      </c>
      <c r="H2" s="59">
        <v>0.33</v>
      </c>
      <c r="I2" s="59">
        <v>0.95</v>
      </c>
    </row>
    <row r="3" spans="1:9" x14ac:dyDescent="0.25">
      <c r="A3" s="61" t="s">
        <v>87</v>
      </c>
      <c r="B3" s="59">
        <v>365</v>
      </c>
      <c r="C3" s="33">
        <f>'WAIRE Menu'!M7</f>
        <v>42</v>
      </c>
      <c r="F3" s="35">
        <v>100000</v>
      </c>
      <c r="G3" s="59">
        <v>0.14000000000000001</v>
      </c>
      <c r="H3" s="59">
        <v>0.21</v>
      </c>
      <c r="I3" s="59">
        <v>0.67</v>
      </c>
    </row>
    <row r="4" spans="1:9" x14ac:dyDescent="0.25">
      <c r="A4" s="61" t="s">
        <v>101</v>
      </c>
      <c r="B4" s="59">
        <v>1</v>
      </c>
      <c r="C4" s="33">
        <f>'WAIRE Menu'!M3</f>
        <v>55</v>
      </c>
      <c r="F4" s="60" t="s">
        <v>82</v>
      </c>
      <c r="G4" s="59">
        <v>0.28999999999999998</v>
      </c>
      <c r="H4" s="59">
        <v>0.75</v>
      </c>
      <c r="I4" s="59">
        <v>2.17</v>
      </c>
    </row>
    <row r="5" spans="1:9" x14ac:dyDescent="0.25">
      <c r="A5" s="61" t="s">
        <v>88</v>
      </c>
      <c r="B5" s="59">
        <v>365</v>
      </c>
      <c r="C5" s="33">
        <f>'WAIRE Menu'!M9</f>
        <v>51</v>
      </c>
    </row>
    <row r="6" spans="1:9" x14ac:dyDescent="0.25">
      <c r="A6" s="61" t="s">
        <v>102</v>
      </c>
      <c r="B6" s="59">
        <v>1</v>
      </c>
      <c r="C6" s="33">
        <f>'WAIRE Menu'!M5</f>
        <v>126</v>
      </c>
    </row>
    <row r="7" spans="1:9" x14ac:dyDescent="0.25">
      <c r="A7" s="61" t="s">
        <v>89</v>
      </c>
      <c r="B7" s="59">
        <v>365</v>
      </c>
      <c r="C7" s="33">
        <f>'WAIRE Menu'!M8</f>
        <v>12</v>
      </c>
    </row>
    <row r="8" spans="1:9" x14ac:dyDescent="0.25">
      <c r="A8" s="61" t="s">
        <v>103</v>
      </c>
      <c r="B8" s="59">
        <v>1</v>
      </c>
      <c r="C8" s="33">
        <f>'WAIRE Menu'!M4</f>
        <v>26</v>
      </c>
    </row>
    <row r="9" spans="1:9" x14ac:dyDescent="0.25">
      <c r="A9" s="61" t="s">
        <v>90</v>
      </c>
      <c r="B9" s="59">
        <v>365</v>
      </c>
      <c r="C9" s="33">
        <f>'WAIRE Menu'!M10</f>
        <v>12</v>
      </c>
    </row>
    <row r="10" spans="1:9" x14ac:dyDescent="0.25">
      <c r="A10" s="61" t="s">
        <v>104</v>
      </c>
      <c r="B10" s="59">
        <v>1</v>
      </c>
      <c r="C10" s="33">
        <f>'WAIRE Menu'!M6</f>
        <v>68</v>
      </c>
    </row>
    <row r="11" spans="1:9" x14ac:dyDescent="0.25">
      <c r="A11" s="61" t="s">
        <v>91</v>
      </c>
      <c r="B11" s="59">
        <v>1</v>
      </c>
      <c r="C11" s="33">
        <f>'WAIRE Menu'!M24</f>
        <v>1680</v>
      </c>
    </row>
    <row r="12" spans="1:9" x14ac:dyDescent="0.25">
      <c r="A12" s="61" t="s">
        <v>2</v>
      </c>
      <c r="B12" s="59">
        <v>6152</v>
      </c>
      <c r="C12" s="33">
        <f>'WAIRE Menu'!M27</f>
        <v>43</v>
      </c>
    </row>
    <row r="13" spans="1:9" x14ac:dyDescent="0.25">
      <c r="A13" s="61" t="s">
        <v>92</v>
      </c>
      <c r="B13" s="59">
        <v>1</v>
      </c>
      <c r="C13" s="33">
        <f>SUM('WAIRE Menu'!M22,'WAIRE Menu'!M19,'WAIRE Menu'!M16)</f>
        <v>23</v>
      </c>
    </row>
    <row r="14" spans="1:9" x14ac:dyDescent="0.25">
      <c r="A14" s="61" t="s">
        <v>93</v>
      </c>
      <c r="B14" s="59">
        <v>1</v>
      </c>
      <c r="C14" s="33">
        <f>SUM('WAIRE Menu'!M21,'WAIRE Menu'!M18,'WAIRE Menu'!M15)</f>
        <v>94</v>
      </c>
    </row>
    <row r="15" spans="1:9" x14ac:dyDescent="0.25">
      <c r="A15" s="61" t="s">
        <v>94</v>
      </c>
      <c r="B15" s="59">
        <v>1</v>
      </c>
      <c r="C15" s="33">
        <f>SUM('WAIRE Menu'!M21,'WAIRE Menu'!M18,'WAIRE Menu'!M14)</f>
        <v>119</v>
      </c>
    </row>
    <row r="16" spans="1:9" x14ac:dyDescent="0.25">
      <c r="A16" s="61" t="s">
        <v>95</v>
      </c>
      <c r="B16" s="59">
        <v>1</v>
      </c>
      <c r="C16" s="33">
        <f>SUM('WAIRE Menu'!M21,'WAIRE Menu'!M18,'WAIRE Menu'!M13)</f>
        <v>186</v>
      </c>
    </row>
    <row r="17" spans="1:3" x14ac:dyDescent="0.25">
      <c r="A17" s="61" t="s">
        <v>3</v>
      </c>
      <c r="B17" s="59">
        <v>165000</v>
      </c>
      <c r="C17" s="33">
        <f>'WAIRE Menu'!M25</f>
        <v>42</v>
      </c>
    </row>
    <row r="18" spans="1:3" x14ac:dyDescent="0.25">
      <c r="A18" s="61" t="s">
        <v>109</v>
      </c>
      <c r="B18" s="59">
        <v>1</v>
      </c>
      <c r="C18" s="33">
        <f>'WAIRE Menu'!M11</f>
        <v>177</v>
      </c>
    </row>
    <row r="19" spans="1:3" x14ac:dyDescent="0.25">
      <c r="A19" s="61" t="s">
        <v>110</v>
      </c>
      <c r="B19" s="59">
        <v>1000</v>
      </c>
      <c r="C19" s="33">
        <f>'WAIRE Menu'!M12</f>
        <v>291</v>
      </c>
    </row>
    <row r="20" spans="1:3" x14ac:dyDescent="0.25">
      <c r="A20" s="61" t="s">
        <v>96</v>
      </c>
      <c r="B20" s="59">
        <v>25</v>
      </c>
      <c r="C20" s="33">
        <f>'WAIRE Menu'!M32</f>
        <v>55</v>
      </c>
    </row>
    <row r="21" spans="1:3" x14ac:dyDescent="0.25">
      <c r="A21" s="62" t="s">
        <v>113</v>
      </c>
      <c r="B21" s="59">
        <v>200</v>
      </c>
      <c r="C21" s="33">
        <f>'WAIRE Menu'!M33</f>
        <v>51</v>
      </c>
    </row>
  </sheetData>
  <sheetProtection password="B562" sheet="1" objects="1" scenarios="1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WAIRE Menu</vt:lpstr>
      <vt:lpstr>Sheet2</vt:lpstr>
    </vt:vector>
  </TitlesOfParts>
  <Company>South Coast A.Q.M.D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MacMillan</dc:creator>
  <cp:lastModifiedBy>Ian MacMillan</cp:lastModifiedBy>
  <dcterms:created xsi:type="dcterms:W3CDTF">2020-02-21T18:11:40Z</dcterms:created>
  <dcterms:modified xsi:type="dcterms:W3CDTF">2020-02-29T10:28:16Z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e4fcc564-d09f-485c-b950-343197841ffb</vt:lpwstr>
  </property>
</Properties>
</file>